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rten\Desktop\BIO-490\"/>
    </mc:Choice>
  </mc:AlternateContent>
  <xr:revisionPtr revIDLastSave="0" documentId="8_{F0CBB6AE-5D5E-4323-8B03-75ED2CC71098}" xr6:coauthVersionLast="36" xr6:coauthVersionMax="36" xr10:uidLastSave="{00000000-0000-0000-0000-000000000000}"/>
  <bookViews>
    <workbookView xWindow="0" yWindow="0" windowWidth="17067" windowHeight="5280" xr2:uid="{EA21B3B5-8827-4933-A1B5-60B0296718F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8" i="1" l="1"/>
  <c r="F58" i="1"/>
  <c r="E58" i="1"/>
  <c r="D58" i="1"/>
  <c r="F33" i="1"/>
  <c r="E33" i="1"/>
  <c r="D33" i="1"/>
  <c r="B33" i="1"/>
  <c r="C33" i="1"/>
  <c r="F34" i="1"/>
  <c r="E34" i="1"/>
  <c r="D34" i="1"/>
  <c r="C34" i="1"/>
  <c r="F57" i="1"/>
  <c r="E57" i="1"/>
  <c r="D57" i="1"/>
  <c r="C57" i="1"/>
  <c r="B57" i="1"/>
  <c r="C47" i="1" l="1"/>
  <c r="D47" i="1"/>
  <c r="E47" i="1"/>
  <c r="F47" i="1"/>
  <c r="B47" i="1"/>
  <c r="F46" i="1"/>
  <c r="C46" i="1"/>
  <c r="D46" i="1"/>
  <c r="E46" i="1"/>
  <c r="B46" i="1"/>
  <c r="B34" i="1" l="1"/>
  <c r="F41" i="1"/>
  <c r="E41" i="1"/>
  <c r="D41" i="1"/>
  <c r="C41" i="1"/>
  <c r="B41" i="1"/>
  <c r="B58" i="1"/>
  <c r="B60" i="1" s="1"/>
  <c r="F60" i="1" l="1"/>
  <c r="E60" i="1"/>
  <c r="E51" i="1" s="1"/>
  <c r="D60" i="1"/>
  <c r="D51" i="1" s="1"/>
  <c r="D53" i="1" s="1"/>
  <c r="C60" i="1"/>
  <c r="C51" i="1" s="1"/>
  <c r="C53" i="1" s="1"/>
  <c r="B51" i="1"/>
  <c r="B53" i="1" s="1"/>
  <c r="B61" i="1" s="1"/>
  <c r="E53" i="1" l="1"/>
  <c r="E61" i="1" s="1"/>
  <c r="F51" i="1"/>
  <c r="D61" i="1"/>
  <c r="C61" i="1"/>
  <c r="F53" i="1" l="1"/>
  <c r="F61" i="1" s="1"/>
  <c r="B62" i="1"/>
  <c r="C62" i="1" s="1"/>
  <c r="D62" i="1" s="1"/>
  <c r="E62" i="1" s="1"/>
  <c r="F62" i="1" l="1"/>
</calcChain>
</file>

<file path=xl/sharedStrings.xml><?xml version="1.0" encoding="utf-8"?>
<sst xmlns="http://schemas.openxmlformats.org/spreadsheetml/2006/main" count="54" uniqueCount="53">
  <si>
    <t xml:space="preserve">Year </t>
  </si>
  <si>
    <t>Certification</t>
  </si>
  <si>
    <t xml:space="preserve">Total costs </t>
  </si>
  <si>
    <t>Revenue stream</t>
  </si>
  <si>
    <t>IP</t>
  </si>
  <si>
    <t>Post-market launch financial statement</t>
  </si>
  <si>
    <t xml:space="preserve">Total revenue </t>
  </si>
  <si>
    <t xml:space="preserve">Technology develpoment </t>
  </si>
  <si>
    <t>Marketing</t>
  </si>
  <si>
    <t>Public relations</t>
  </si>
  <si>
    <t>Operational costs</t>
  </si>
  <si>
    <t xml:space="preserve">Production cost </t>
  </si>
  <si>
    <t xml:space="preserve">shipping </t>
  </si>
  <si>
    <t xml:space="preserve">storage </t>
  </si>
  <si>
    <t>Documentation</t>
  </si>
  <si>
    <t>kits sales</t>
  </si>
  <si>
    <t xml:space="preserve">Service fees </t>
  </si>
  <si>
    <t xml:space="preserve">Salaries </t>
  </si>
  <si>
    <t>Rent</t>
  </si>
  <si>
    <t xml:space="preserve">Regulatory affairs </t>
  </si>
  <si>
    <t>Customer aquisition cost</t>
  </si>
  <si>
    <t>sales and rent related costs</t>
  </si>
  <si>
    <t>Website, server and marketing content</t>
  </si>
  <si>
    <t xml:space="preserve">Second clinical trials </t>
  </si>
  <si>
    <t>P&amp;L Net balance before investment</t>
  </si>
  <si>
    <t>Cumulative profits and investments</t>
  </si>
  <si>
    <t>not linear, rent 1 or 2 or 3 rooms</t>
  </si>
  <si>
    <t>linear (1k per WS)</t>
  </si>
  <si>
    <t>initial investment for design and launch of the website, then constant</t>
  </si>
  <si>
    <t>WS Manufacturing</t>
  </si>
  <si>
    <t>kits Manufacturing</t>
  </si>
  <si>
    <t>Number of R&amp;D employees</t>
  </si>
  <si>
    <t>Number of management employees</t>
  </si>
  <si>
    <t>Number of sales and services employees</t>
  </si>
  <si>
    <t>cummulative number!</t>
  </si>
  <si>
    <t xml:space="preserve">increase with expansion to US market </t>
  </si>
  <si>
    <t xml:space="preserve">first 10 workstations are for rent, then full sales at 100k </t>
  </si>
  <si>
    <t>linear 600 CHF per WS</t>
  </si>
  <si>
    <t>linear 30% margin for diagnostic lab</t>
  </si>
  <si>
    <t>linear 70k per station</t>
  </si>
  <si>
    <t>mass discount: 1250 CHF per kit up to 1000/yr 1000 per kit up to 100000/yr 750 CHF per kit from 100k+ kits per year</t>
  </si>
  <si>
    <t>linear average of salary cost of 150k per employee</t>
  </si>
  <si>
    <t xml:space="preserve">linear 15k per employee per year </t>
  </si>
  <si>
    <t>not linear, scales with new markets</t>
  </si>
  <si>
    <t>not linear scales with royalties + new inventions, milestones, etc.</t>
  </si>
  <si>
    <t>not linear, one off investment for new generation, new readout, etc.</t>
  </si>
  <si>
    <t>not linear, cost per trial and disease indication</t>
  </si>
  <si>
    <t xml:space="preserve">Recruitment, ethics approval  and sample shipments </t>
  </si>
  <si>
    <t>moderate increase with growth</t>
  </si>
  <si>
    <t xml:space="preserve">Legal cost (company registration and tax) </t>
  </si>
  <si>
    <t>Number of WS</t>
  </si>
  <si>
    <t>WS rental</t>
  </si>
  <si>
    <t>2022-2025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</si>
</sst>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_);\(0\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3A875"/>
        <bgColor indexed="64"/>
      </patternFill>
    </fill>
    <fill>
      <patternFill patternType="solid">
        <fgColor rgb="FFFF75DB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4874C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/>
    </xf>
    <xf numFmtId="0" fontId="0" fillId="6" borderId="4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 wrapText="1"/>
    </xf>
    <xf numFmtId="0" fontId="0" fillId="10" borderId="4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0" fillId="12" borderId="5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 wrapText="1"/>
    </xf>
    <xf numFmtId="0" fontId="0" fillId="9" borderId="4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 wrapText="1"/>
    </xf>
    <xf numFmtId="1" fontId="0" fillId="4" borderId="14" xfId="1" applyNumberFormat="1" applyFont="1" applyFill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0" fillId="4" borderId="16" xfId="0" applyFill="1" applyBorder="1" applyAlignment="1">
      <alignment horizontal="center" vertical="center" wrapText="1"/>
    </xf>
    <xf numFmtId="1" fontId="0" fillId="4" borderId="17" xfId="1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4" borderId="18" xfId="0" applyNumberFormat="1" applyFill="1" applyBorder="1" applyAlignment="1">
      <alignment horizontal="center" vertical="center"/>
    </xf>
    <xf numFmtId="0" fontId="2" fillId="0" borderId="0" xfId="0" applyFont="1"/>
    <xf numFmtId="0" fontId="0" fillId="3" borderId="1" xfId="0" applyFill="1" applyBorder="1" applyAlignment="1">
      <alignment horizontal="center" vertical="center"/>
    </xf>
    <xf numFmtId="0" fontId="0" fillId="0" borderId="0" xfId="0" applyFont="1"/>
    <xf numFmtId="0" fontId="0" fillId="6" borderId="4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 wrapText="1"/>
    </xf>
    <xf numFmtId="0" fontId="0" fillId="12" borderId="4" xfId="0" applyFill="1" applyBorder="1" applyAlignment="1">
      <alignment horizontal="center" vertical="center"/>
    </xf>
    <xf numFmtId="0" fontId="0" fillId="0" borderId="0" xfId="0" quotePrefix="1"/>
    <xf numFmtId="0" fontId="0" fillId="12" borderId="2" xfId="0" applyFill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0" fillId="12" borderId="6" xfId="0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0" fillId="10" borderId="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7" borderId="1" xfId="0" quotePrefix="1" applyFill="1" applyBorder="1" applyAlignment="1">
      <alignment horizontal="center" vertical="center"/>
    </xf>
    <xf numFmtId="0" fontId="0" fillId="7" borderId="5" xfId="0" quotePrefix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9" borderId="2" xfId="0" quotePrefix="1" applyFill="1" applyBorder="1" applyAlignment="1">
      <alignment horizontal="center" vertical="center"/>
    </xf>
    <xf numFmtId="0" fontId="0" fillId="9" borderId="3" xfId="0" quotePrefix="1" applyFill="1" applyBorder="1" applyAlignment="1">
      <alignment horizontal="center" vertical="center"/>
    </xf>
    <xf numFmtId="0" fontId="0" fillId="9" borderId="6" xfId="0" quotePrefix="1" applyFill="1" applyBorder="1" applyAlignment="1">
      <alignment horizontal="center" vertical="center"/>
    </xf>
    <xf numFmtId="0" fontId="0" fillId="13" borderId="2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13" borderId="6" xfId="0" applyFill="1" applyBorder="1" applyAlignment="1">
      <alignment horizontal="center" vertical="center"/>
    </xf>
    <xf numFmtId="0" fontId="0" fillId="6" borderId="1" xfId="0" quotePrefix="1" applyFill="1" applyBorder="1" applyAlignment="1">
      <alignment horizontal="center" vertical="center"/>
    </xf>
    <xf numFmtId="0" fontId="0" fillId="6" borderId="5" xfId="0" quotePrefix="1" applyFill="1" applyBorder="1" applyAlignment="1">
      <alignment horizontal="center" vertical="center"/>
    </xf>
    <xf numFmtId="0" fontId="0" fillId="6" borderId="2" xfId="0" quotePrefix="1" applyFill="1" applyBorder="1" applyAlignment="1">
      <alignment horizontal="center" vertical="center"/>
    </xf>
    <xf numFmtId="0" fontId="0" fillId="6" borderId="3" xfId="0" quotePrefix="1" applyFill="1" applyBorder="1" applyAlignment="1">
      <alignment horizontal="center" vertical="center"/>
    </xf>
    <xf numFmtId="0" fontId="0" fillId="6" borderId="15" xfId="0" quotePrefix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B7B7FF"/>
      <color rgb="FF9797FF"/>
      <color rgb="FF4874C4"/>
      <color rgb="FFC9FFC9"/>
      <color rgb="FFFF75DB"/>
      <color rgb="FFFF33CC"/>
      <color rgb="FF66FF66"/>
      <color rgb="FF99FF99"/>
      <color rgb="FF66FFFF"/>
      <color rgb="FFB3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0276B-C40C-4C3A-8186-2F2AF0C4EDD8}">
  <dimension ref="A1:H62"/>
  <sheetViews>
    <sheetView tabSelected="1" topLeftCell="A46" zoomScale="80" zoomScaleNormal="80" zoomScaleSheetLayoutView="51" zoomScalePageLayoutView="65" workbookViewId="0">
      <selection activeCell="G65" sqref="G65"/>
    </sheetView>
  </sheetViews>
  <sheetFormatPr defaultColWidth="9.17578125" defaultRowHeight="14.35" x14ac:dyDescent="0.5"/>
  <cols>
    <col min="1" max="1" width="35.17578125" customWidth="1"/>
    <col min="2" max="2" width="10.46875" bestFit="1" customWidth="1"/>
    <col min="8" max="8" width="20" customWidth="1"/>
  </cols>
  <sheetData>
    <row r="1" spans="1:7" x14ac:dyDescent="0.5">
      <c r="A1" s="1"/>
      <c r="B1" s="1"/>
      <c r="C1" s="1"/>
      <c r="D1" s="1"/>
      <c r="E1" s="1"/>
      <c r="F1" s="1"/>
    </row>
    <row r="4" spans="1:7" x14ac:dyDescent="0.5">
      <c r="B4" s="53"/>
      <c r="C4" s="53"/>
      <c r="D4" s="53"/>
      <c r="E4" s="53"/>
      <c r="F4" s="53"/>
    </row>
    <row r="6" spans="1:7" x14ac:dyDescent="0.5">
      <c r="B6" s="53"/>
    </row>
    <row r="7" spans="1:7" x14ac:dyDescent="0.5">
      <c r="B7" s="53"/>
      <c r="C7" s="53"/>
      <c r="D7" s="53"/>
      <c r="E7" s="53"/>
      <c r="F7" s="53"/>
    </row>
    <row r="8" spans="1:7" x14ac:dyDescent="0.5">
      <c r="B8" s="53"/>
    </row>
    <row r="9" spans="1:7" x14ac:dyDescent="0.5">
      <c r="B9" s="53"/>
      <c r="C9" s="53"/>
      <c r="D9" s="53"/>
      <c r="E9" s="53"/>
      <c r="F9" s="53"/>
    </row>
    <row r="10" spans="1:7" x14ac:dyDescent="0.5">
      <c r="B10" s="53"/>
    </row>
    <row r="11" spans="1:7" x14ac:dyDescent="0.5">
      <c r="B11" s="53"/>
    </row>
    <row r="13" spans="1:7" s="2" customFormat="1" x14ac:dyDescent="0.5">
      <c r="A13"/>
      <c r="B13"/>
      <c r="C13"/>
      <c r="D13"/>
      <c r="E13"/>
      <c r="F13"/>
      <c r="G13"/>
    </row>
    <row r="14" spans="1:7" s="2" customFormat="1" x14ac:dyDescent="0.5">
      <c r="A14"/>
      <c r="B14"/>
      <c r="C14"/>
      <c r="D14"/>
      <c r="E14"/>
      <c r="F14"/>
      <c r="G14"/>
    </row>
    <row r="25" spans="1:8" ht="14.7" thickBot="1" x14ac:dyDescent="0.55000000000000004">
      <c r="B25" s="3"/>
      <c r="C25" s="3"/>
      <c r="D25" s="3"/>
      <c r="E25" s="3"/>
      <c r="F25" s="3"/>
    </row>
    <row r="26" spans="1:8" x14ac:dyDescent="0.5">
      <c r="A26" s="60" t="s">
        <v>5</v>
      </c>
      <c r="B26" s="61"/>
      <c r="C26" s="61"/>
      <c r="D26" s="61"/>
      <c r="E26" s="61"/>
      <c r="F26" s="62"/>
    </row>
    <row r="27" spans="1:8" x14ac:dyDescent="0.5">
      <c r="A27" s="4" t="s">
        <v>0</v>
      </c>
      <c r="B27" s="25">
        <v>2026</v>
      </c>
      <c r="C27" s="25">
        <v>2027</v>
      </c>
      <c r="D27" s="25">
        <v>2028</v>
      </c>
      <c r="E27" s="25">
        <v>2029</v>
      </c>
      <c r="F27" s="26">
        <v>2030</v>
      </c>
    </row>
    <row r="28" spans="1:8" x14ac:dyDescent="0.5">
      <c r="A28" s="33" t="s">
        <v>7</v>
      </c>
      <c r="B28" s="63"/>
      <c r="C28" s="63"/>
      <c r="D28" s="63"/>
      <c r="E28" s="63"/>
      <c r="F28" s="64"/>
    </row>
    <row r="29" spans="1:8" x14ac:dyDescent="0.5">
      <c r="A29" s="17"/>
      <c r="B29" s="10">
        <v>0</v>
      </c>
      <c r="C29" s="10">
        <v>2000</v>
      </c>
      <c r="D29" s="10">
        <v>0</v>
      </c>
      <c r="E29" s="10">
        <v>0</v>
      </c>
      <c r="F29" s="11">
        <v>0</v>
      </c>
      <c r="H29" t="s">
        <v>45</v>
      </c>
    </row>
    <row r="30" spans="1:8" x14ac:dyDescent="0.5">
      <c r="A30" s="47" t="s">
        <v>23</v>
      </c>
      <c r="B30" s="74"/>
      <c r="C30" s="74"/>
      <c r="D30" s="74"/>
      <c r="E30" s="74"/>
      <c r="F30" s="75"/>
    </row>
    <row r="31" spans="1:8" ht="28.7" x14ac:dyDescent="0.5">
      <c r="A31" s="5" t="s">
        <v>47</v>
      </c>
      <c r="B31" s="76">
        <v>1500</v>
      </c>
      <c r="C31" s="77"/>
      <c r="D31" s="78"/>
      <c r="E31" s="6">
        <v>0</v>
      </c>
      <c r="F31" s="7">
        <v>0</v>
      </c>
      <c r="H31" t="s">
        <v>46</v>
      </c>
    </row>
    <row r="32" spans="1:8" x14ac:dyDescent="0.5">
      <c r="A32" s="14" t="s">
        <v>11</v>
      </c>
      <c r="B32" s="68"/>
      <c r="C32" s="69"/>
      <c r="D32" s="69"/>
      <c r="E32" s="69"/>
      <c r="F32" s="70"/>
    </row>
    <row r="33" spans="1:8" x14ac:dyDescent="0.5">
      <c r="A33" s="34" t="s">
        <v>30</v>
      </c>
      <c r="B33" s="15">
        <f>100*1250*B56/1000</f>
        <v>625</v>
      </c>
      <c r="C33" s="15">
        <f t="shared" ref="C33" si="0">100*1250*C56/1000</f>
        <v>1250</v>
      </c>
      <c r="D33" s="15">
        <f>100*1000*D56/1000</f>
        <v>5000</v>
      </c>
      <c r="E33" s="15">
        <f>100*1000*E56/1000</f>
        <v>10000</v>
      </c>
      <c r="F33" s="15">
        <f>100*750*F56/1000</f>
        <v>18750</v>
      </c>
      <c r="H33" s="46" t="s">
        <v>40</v>
      </c>
    </row>
    <row r="34" spans="1:8" x14ac:dyDescent="0.5">
      <c r="A34" s="34" t="s">
        <v>29</v>
      </c>
      <c r="B34" s="15">
        <f>70*B56</f>
        <v>350</v>
      </c>
      <c r="C34" s="15">
        <f>70*(C56-B56)</f>
        <v>350</v>
      </c>
      <c r="D34" s="15">
        <f>70*(D56-C56)</f>
        <v>2800</v>
      </c>
      <c r="E34" s="15">
        <f t="shared" ref="E34:F34" si="1">70*(E56-D56)</f>
        <v>3500</v>
      </c>
      <c r="F34" s="15">
        <f t="shared" si="1"/>
        <v>10500</v>
      </c>
      <c r="H34" t="s">
        <v>39</v>
      </c>
    </row>
    <row r="35" spans="1:8" x14ac:dyDescent="0.5">
      <c r="A35" s="34" t="s">
        <v>13</v>
      </c>
      <c r="B35" s="15">
        <v>10</v>
      </c>
      <c r="C35" s="15">
        <v>20</v>
      </c>
      <c r="D35" s="15">
        <v>50</v>
      </c>
      <c r="E35" s="15">
        <v>50</v>
      </c>
      <c r="F35" s="16">
        <v>50</v>
      </c>
      <c r="H35" t="s">
        <v>26</v>
      </c>
    </row>
    <row r="36" spans="1:8" x14ac:dyDescent="0.5">
      <c r="A36" s="34" t="s">
        <v>12</v>
      </c>
      <c r="B36" s="15">
        <v>5</v>
      </c>
      <c r="C36" s="15">
        <v>10</v>
      </c>
      <c r="D36" s="15">
        <v>50</v>
      </c>
      <c r="E36" s="15">
        <v>100</v>
      </c>
      <c r="F36" s="16">
        <v>250</v>
      </c>
      <c r="H36" t="s">
        <v>27</v>
      </c>
    </row>
    <row r="37" spans="1:8" x14ac:dyDescent="0.5">
      <c r="A37" s="34" t="s">
        <v>21</v>
      </c>
      <c r="B37" s="15">
        <v>3</v>
      </c>
      <c r="C37" s="15">
        <v>6</v>
      </c>
      <c r="D37" s="15">
        <v>30</v>
      </c>
      <c r="E37" s="15">
        <v>60</v>
      </c>
      <c r="F37" s="16">
        <v>150</v>
      </c>
      <c r="H37" t="s">
        <v>37</v>
      </c>
    </row>
    <row r="38" spans="1:8" x14ac:dyDescent="0.5">
      <c r="A38" s="48" t="s">
        <v>8</v>
      </c>
      <c r="B38" s="71"/>
      <c r="C38" s="72"/>
      <c r="D38" s="72"/>
      <c r="E38" s="72"/>
      <c r="F38" s="73"/>
    </row>
    <row r="39" spans="1:8" x14ac:dyDescent="0.5">
      <c r="A39" s="48" t="s">
        <v>9</v>
      </c>
      <c r="B39" s="49">
        <v>10</v>
      </c>
      <c r="C39" s="49">
        <v>10</v>
      </c>
      <c r="D39" s="49">
        <v>10</v>
      </c>
      <c r="E39" s="49">
        <v>10</v>
      </c>
      <c r="F39" s="50">
        <v>10</v>
      </c>
    </row>
    <row r="40" spans="1:8" x14ac:dyDescent="0.5">
      <c r="A40" s="51" t="s">
        <v>22</v>
      </c>
      <c r="B40" s="49">
        <v>70</v>
      </c>
      <c r="C40" s="49">
        <v>7</v>
      </c>
      <c r="D40" s="49">
        <v>7</v>
      </c>
      <c r="E40" s="49">
        <v>7</v>
      </c>
      <c r="F40" s="50">
        <v>7</v>
      </c>
      <c r="H40" t="s">
        <v>28</v>
      </c>
    </row>
    <row r="41" spans="1:8" x14ac:dyDescent="0.5">
      <c r="A41" s="51" t="s">
        <v>20</v>
      </c>
      <c r="B41" s="49">
        <f>0.3*B57</f>
        <v>375</v>
      </c>
      <c r="C41" s="49">
        <f>0.3*C57</f>
        <v>750</v>
      </c>
      <c r="D41" s="49">
        <f>0.3*D57</f>
        <v>3750</v>
      </c>
      <c r="E41" s="49">
        <f>0.3*E57</f>
        <v>7500</v>
      </c>
      <c r="F41" s="49">
        <f>0.3*F57</f>
        <v>18750</v>
      </c>
      <c r="H41" t="s">
        <v>38</v>
      </c>
    </row>
    <row r="42" spans="1:8" x14ac:dyDescent="0.5">
      <c r="A42" s="18" t="s">
        <v>10</v>
      </c>
      <c r="B42" s="57"/>
      <c r="C42" s="58"/>
      <c r="D42" s="58"/>
      <c r="E42" s="58"/>
      <c r="F42" s="59"/>
    </row>
    <row r="43" spans="1:8" x14ac:dyDescent="0.5">
      <c r="A43" s="20" t="s">
        <v>31</v>
      </c>
      <c r="B43" s="20">
        <v>2</v>
      </c>
      <c r="C43" s="20">
        <v>2</v>
      </c>
      <c r="D43" s="20">
        <v>3</v>
      </c>
      <c r="E43" s="20">
        <v>3</v>
      </c>
      <c r="F43" s="20">
        <v>4</v>
      </c>
      <c r="H43" t="s">
        <v>48</v>
      </c>
    </row>
    <row r="44" spans="1:8" x14ac:dyDescent="0.5">
      <c r="A44" s="20" t="s">
        <v>32</v>
      </c>
      <c r="B44" s="20">
        <v>3</v>
      </c>
      <c r="C44" s="20">
        <v>3</v>
      </c>
      <c r="D44" s="20">
        <v>5</v>
      </c>
      <c r="E44" s="20">
        <v>5</v>
      </c>
      <c r="F44" s="20">
        <v>5</v>
      </c>
      <c r="H44" t="s">
        <v>48</v>
      </c>
    </row>
    <row r="45" spans="1:8" x14ac:dyDescent="0.5">
      <c r="A45" s="20" t="s">
        <v>33</v>
      </c>
      <c r="B45" s="20">
        <v>1</v>
      </c>
      <c r="C45" s="20">
        <v>1</v>
      </c>
      <c r="D45" s="20">
        <v>10</v>
      </c>
      <c r="E45" s="20">
        <v>10</v>
      </c>
      <c r="F45" s="20">
        <v>20</v>
      </c>
      <c r="H45" t="s">
        <v>35</v>
      </c>
    </row>
    <row r="46" spans="1:8" x14ac:dyDescent="0.5">
      <c r="A46" s="19" t="s">
        <v>17</v>
      </c>
      <c r="B46" s="20">
        <f>150*SUM(B43:B45)</f>
        <v>900</v>
      </c>
      <c r="C46" s="20">
        <f t="shared" ref="C46:F46" si="2">150*SUM(C43:C45)</f>
        <v>900</v>
      </c>
      <c r="D46" s="20">
        <f t="shared" si="2"/>
        <v>2700</v>
      </c>
      <c r="E46" s="20">
        <f t="shared" si="2"/>
        <v>2700</v>
      </c>
      <c r="F46" s="20">
        <f t="shared" si="2"/>
        <v>4350</v>
      </c>
      <c r="H46" t="s">
        <v>41</v>
      </c>
    </row>
    <row r="47" spans="1:8" x14ac:dyDescent="0.5">
      <c r="A47" s="19" t="s">
        <v>18</v>
      </c>
      <c r="B47" s="20">
        <f>15*SUM(B43:B45)</f>
        <v>90</v>
      </c>
      <c r="C47" s="20">
        <f t="shared" ref="C47:F47" si="3">15*SUM(C43:C45)</f>
        <v>90</v>
      </c>
      <c r="D47" s="20">
        <f t="shared" si="3"/>
        <v>270</v>
      </c>
      <c r="E47" s="20">
        <f t="shared" si="3"/>
        <v>270</v>
      </c>
      <c r="F47" s="20">
        <f t="shared" si="3"/>
        <v>435</v>
      </c>
      <c r="H47" t="s">
        <v>42</v>
      </c>
    </row>
    <row r="48" spans="1:8" x14ac:dyDescent="0.5">
      <c r="A48" s="29" t="s">
        <v>14</v>
      </c>
      <c r="B48" s="54"/>
      <c r="C48" s="55"/>
      <c r="D48" s="55"/>
      <c r="E48" s="55"/>
      <c r="F48" s="56"/>
    </row>
    <row r="49" spans="1:8" x14ac:dyDescent="0.5">
      <c r="A49" s="52" t="s">
        <v>1</v>
      </c>
      <c r="B49" s="30">
        <v>10</v>
      </c>
      <c r="C49" s="30">
        <v>10</v>
      </c>
      <c r="D49" s="30">
        <v>200</v>
      </c>
      <c r="E49" s="30">
        <v>10</v>
      </c>
      <c r="F49" s="32">
        <v>10</v>
      </c>
    </row>
    <row r="50" spans="1:8" x14ac:dyDescent="0.5">
      <c r="A50" s="52" t="s">
        <v>19</v>
      </c>
      <c r="B50" s="30">
        <v>200</v>
      </c>
      <c r="C50" s="30">
        <v>10</v>
      </c>
      <c r="D50" s="30">
        <v>200</v>
      </c>
      <c r="E50" s="30">
        <v>10</v>
      </c>
      <c r="F50" s="32">
        <v>10</v>
      </c>
      <c r="H50" t="s">
        <v>43</v>
      </c>
    </row>
    <row r="51" spans="1:8" x14ac:dyDescent="0.5">
      <c r="A51" s="29" t="s">
        <v>4</v>
      </c>
      <c r="B51" s="30">
        <f>380+(0.05*B60)</f>
        <v>445</v>
      </c>
      <c r="C51" s="30">
        <f>20+(0.05*C60)</f>
        <v>150</v>
      </c>
      <c r="D51" s="30">
        <f>20+(0.05*D60)</f>
        <v>852.5</v>
      </c>
      <c r="E51" s="30">
        <f>20+(0.05*E60)</f>
        <v>1535</v>
      </c>
      <c r="F51" s="30">
        <f>20+(0.05*F60)</f>
        <v>3932.5</v>
      </c>
      <c r="H51" t="s">
        <v>44</v>
      </c>
    </row>
    <row r="52" spans="1:8" x14ac:dyDescent="0.5">
      <c r="A52" s="29" t="s">
        <v>49</v>
      </c>
      <c r="B52" s="30">
        <v>20</v>
      </c>
      <c r="C52" s="31">
        <v>20</v>
      </c>
      <c r="D52" s="30">
        <v>20</v>
      </c>
      <c r="E52" s="31">
        <v>50</v>
      </c>
      <c r="F52" s="32">
        <v>50</v>
      </c>
      <c r="H52" s="44"/>
    </row>
    <row r="53" spans="1:8" x14ac:dyDescent="0.5">
      <c r="A53" s="8" t="s">
        <v>2</v>
      </c>
      <c r="B53" s="35">
        <f>SUM(B49:B52)+SUM(B46:B47)+SUM(B39:B41)+SUM(B33:B37)+B31</f>
        <v>4613</v>
      </c>
      <c r="C53" s="35">
        <f>SUM(C49:C52)+SUM(C46:C47)+SUM(C39:C41)+SUM(C33:C37)+C29</f>
        <v>5583</v>
      </c>
      <c r="D53" s="35">
        <f>SUM(D49:D52)+SUM(D46:D47)+SUM(D39:D41)+SUM(D33:D37)</f>
        <v>15939.5</v>
      </c>
      <c r="E53" s="35">
        <f>SUM(E49:E52)+SUM(E46:E47)+SUM(E39:E41)+SUM(E33:E37)</f>
        <v>25802</v>
      </c>
      <c r="F53" s="39">
        <f>SUM(F49:F52)+SUM(F46:F47)+SUM(F39:F41)+SUM(F33:F37)</f>
        <v>57254.5</v>
      </c>
    </row>
    <row r="54" spans="1:8" x14ac:dyDescent="0.5">
      <c r="A54" s="9" t="s">
        <v>3</v>
      </c>
      <c r="B54" s="27"/>
      <c r="C54" s="27"/>
      <c r="D54" s="27"/>
      <c r="E54" s="27"/>
      <c r="F54" s="28"/>
    </row>
    <row r="55" spans="1:8" x14ac:dyDescent="0.5">
      <c r="A55" s="12" t="s">
        <v>52</v>
      </c>
      <c r="B55" s="36">
        <v>6509</v>
      </c>
      <c r="C55" s="65"/>
      <c r="D55" s="66"/>
      <c r="E55" s="66"/>
      <c r="F55" s="67"/>
    </row>
    <row r="56" spans="1:8" x14ac:dyDescent="0.5">
      <c r="A56" s="12" t="s">
        <v>50</v>
      </c>
      <c r="B56" s="23">
        <v>5</v>
      </c>
      <c r="C56" s="23">
        <v>10</v>
      </c>
      <c r="D56" s="23">
        <v>50</v>
      </c>
      <c r="E56" s="23">
        <v>100</v>
      </c>
      <c r="F56" s="24">
        <v>250</v>
      </c>
      <c r="H56" t="s">
        <v>34</v>
      </c>
    </row>
    <row r="57" spans="1:8" x14ac:dyDescent="0.5">
      <c r="A57" s="12" t="s">
        <v>15</v>
      </c>
      <c r="B57" s="23">
        <f>100*2500*B56/1000</f>
        <v>1250</v>
      </c>
      <c r="C57" s="45">
        <f t="shared" ref="C57:F57" si="4">100*2500*C56/1000</f>
        <v>2500</v>
      </c>
      <c r="D57" s="45">
        <f t="shared" si="4"/>
        <v>12500</v>
      </c>
      <c r="E57" s="45">
        <f t="shared" si="4"/>
        <v>25000</v>
      </c>
      <c r="F57" s="45">
        <f t="shared" si="4"/>
        <v>62500</v>
      </c>
    </row>
    <row r="58" spans="1:8" x14ac:dyDescent="0.5">
      <c r="A58" s="12" t="s">
        <v>51</v>
      </c>
      <c r="B58" s="23">
        <f>10*B56</f>
        <v>50</v>
      </c>
      <c r="C58" s="42">
        <f>10*(C56)</f>
        <v>100</v>
      </c>
      <c r="D58" s="45">
        <f t="shared" ref="D58:F58" si="5">100*(D56-C56)</f>
        <v>4000</v>
      </c>
      <c r="E58" s="45">
        <f t="shared" si="5"/>
        <v>5000</v>
      </c>
      <c r="F58" s="45">
        <f t="shared" si="5"/>
        <v>15000</v>
      </c>
      <c r="H58" t="s">
        <v>36</v>
      </c>
    </row>
    <row r="59" spans="1:8" x14ac:dyDescent="0.5">
      <c r="A59" s="12" t="s">
        <v>16</v>
      </c>
      <c r="B59" s="23">
        <v>0</v>
      </c>
      <c r="C59" s="23">
        <v>0</v>
      </c>
      <c r="D59" s="23">
        <v>150</v>
      </c>
      <c r="E59" s="23">
        <v>300</v>
      </c>
      <c r="F59" s="24">
        <v>750</v>
      </c>
    </row>
    <row r="60" spans="1:8" ht="14.7" thickBot="1" x14ac:dyDescent="0.55000000000000004">
      <c r="A60" s="13" t="s">
        <v>6</v>
      </c>
      <c r="B60" s="21">
        <f>SUM(B57:B59)</f>
        <v>1300</v>
      </c>
      <c r="C60" s="21">
        <f>SUM(C57:C59)</f>
        <v>2600</v>
      </c>
      <c r="D60" s="21">
        <f>SUM(D57:D59)</f>
        <v>16650</v>
      </c>
      <c r="E60" s="21">
        <f>SUM(E57:E59)</f>
        <v>30300</v>
      </c>
      <c r="F60" s="22">
        <f>SUM(F57:F59)</f>
        <v>78250</v>
      </c>
    </row>
    <row r="61" spans="1:8" ht="15" thickTop="1" thickBot="1" x14ac:dyDescent="0.55000000000000004">
      <c r="A61" s="37" t="s">
        <v>24</v>
      </c>
      <c r="B61" s="38">
        <f>B60-B53</f>
        <v>-3313</v>
      </c>
      <c r="C61" s="38">
        <f>C60-C53</f>
        <v>-2983</v>
      </c>
      <c r="D61" s="38">
        <f>D60-D53</f>
        <v>710.5</v>
      </c>
      <c r="E61" s="38">
        <f>E60-E53</f>
        <v>4498</v>
      </c>
      <c r="F61" s="22">
        <f>F60-F53</f>
        <v>20995.5</v>
      </c>
    </row>
    <row r="62" spans="1:8" ht="15" thickTop="1" thickBot="1" x14ac:dyDescent="0.55000000000000004">
      <c r="A62" s="40" t="s">
        <v>25</v>
      </c>
      <c r="B62" s="41">
        <f>B61+B55</f>
        <v>3196</v>
      </c>
      <c r="C62" s="41">
        <f>C61+B62</f>
        <v>213</v>
      </c>
      <c r="D62" s="41">
        <f>D61+C62</f>
        <v>923.5</v>
      </c>
      <c r="E62" s="41">
        <f>E61+D62</f>
        <v>5421.5</v>
      </c>
      <c r="F62" s="43">
        <f>F61+E62</f>
        <v>26417</v>
      </c>
    </row>
  </sheetData>
  <mergeCells count="9">
    <mergeCell ref="B48:F48"/>
    <mergeCell ref="B42:F42"/>
    <mergeCell ref="A26:F26"/>
    <mergeCell ref="B28:F28"/>
    <mergeCell ref="C55:F55"/>
    <mergeCell ref="B32:F32"/>
    <mergeCell ref="B38:F38"/>
    <mergeCell ref="B30:F30"/>
    <mergeCell ref="B31:D31"/>
  </mergeCells>
  <pageMargins left="0.7" right="0.7" top="0.75" bottom="0.75" header="0.3" footer="0.3"/>
  <pageSetup paperSize="9" orientation="portrait" horizontalDpi="1200" verticalDpi="1200" r:id="rId1"/>
  <ignoredErrors>
    <ignoredError sqref="E60:F60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D7D5A1BD2EB2042873029A0B14823C1" ma:contentTypeVersion="11" ma:contentTypeDescription="Crée un document." ma:contentTypeScope="" ma:versionID="6f6c1e3de1613e9aa1603e98a483ce22">
  <xsd:schema xmlns:xsd="http://www.w3.org/2001/XMLSchema" xmlns:xs="http://www.w3.org/2001/XMLSchema" xmlns:p="http://schemas.microsoft.com/office/2006/metadata/properties" xmlns:ns3="7c9167c6-1729-4357-8a6f-3ef700d9bfd7" targetNamespace="http://schemas.microsoft.com/office/2006/metadata/properties" ma:root="true" ma:fieldsID="3648e5c2c2b347d75c88abed19ae2543" ns3:_="">
    <xsd:import namespace="7c9167c6-1729-4357-8a6f-3ef700d9bfd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9167c6-1729-4357-8a6f-3ef700d9bf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79B5EE-7B2B-4655-A354-634AF24958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9167c6-1729-4357-8a6f-3ef700d9bf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C873DE3-24C7-45E8-AFE6-77F8B1D2B9E4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7c9167c6-1729-4357-8a6f-3ef700d9bfd7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4A37655-FD91-48C5-B8C5-037DC94A950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Samet Hana</dc:creator>
  <cp:lastModifiedBy>Christoph Merten</cp:lastModifiedBy>
  <cp:lastPrinted>2021-10-19T15:09:52Z</cp:lastPrinted>
  <dcterms:created xsi:type="dcterms:W3CDTF">2021-10-19T14:51:27Z</dcterms:created>
  <dcterms:modified xsi:type="dcterms:W3CDTF">2025-11-06T13:25:15Z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0x010100FD7D5A1BD2EB2042873029A0B14823C1</vt:lpwstr>
  </property>
</Properties>
</file>